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ropbox\bt-shared (1)\FRM\FRM 2017\XLS\T8\Samples\"/>
    </mc:Choice>
  </mc:AlternateContent>
  <bookViews>
    <workbookView xWindow="120" yWindow="0" windowWidth="4116" windowHeight="1176"/>
  </bookViews>
  <sheets>
    <sheet name="TOC" sheetId="24" r:id="rId1"/>
    <sheet name="Ch7-Portfolio-VaR" sheetId="11" r:id="rId2"/>
  </sheets>
  <externalReferences>
    <externalReference r:id="rId3"/>
    <externalReference r:id="rId4"/>
    <externalReference r:id="rId5"/>
  </externalReferences>
  <definedNames>
    <definedName name="___INDEX_SHEET___ASAP_Utilities">TOC!$A$1</definedName>
    <definedName name="beta" localSheetId="1">'Ch7-Portfolio-VaR'!#REF!</definedName>
    <definedName name="Beta">[1]SML!$D$29:$J$29</definedName>
    <definedName name="confidence">'[2]A.2. VaR HS'!$C$6</definedName>
    <definedName name="deviate">#REF!</definedName>
    <definedName name="down_deviation">'[2]3.4. Amenc Sortino'!$K$6</definedName>
    <definedName name="ERP">[1]SML!$D$22</definedName>
    <definedName name="horizon">'[2]A.2. VaR HS'!$C$8</definedName>
    <definedName name="IR">'[2]3.4 Amenc RAPM'!$D$21</definedName>
    <definedName name="MAR">'[2]3.4. Amenc Sortino'!$K$3</definedName>
    <definedName name="MarketReturn">[3]RAPM_v1!$H$9</definedName>
    <definedName name="PortVolatility">[3]RAPM_v1!$D$5</definedName>
    <definedName name="Return__E_P">'[2]3.4 Amenc RAPM'!$D$10:$J$10</definedName>
    <definedName name="return_p">'[2]3.4. Amenc Sortino'!$O$5</definedName>
    <definedName name="rf_rate">[1]SML!$D$2</definedName>
    <definedName name="rho">'[2]3.4. Amenc Sortino'!$O$6</definedName>
    <definedName name="riskfree">'[2]3.4. Amenc Sortino'!$K$2</definedName>
    <definedName name="riskfree_rate">[3]RAPM_v1!$H$4</definedName>
    <definedName name="sigma">'[2]A.2. VaR HS'!$C$5</definedName>
    <definedName name="significance">'[2]A.2. VaR HS'!$C$7</definedName>
    <definedName name="T">[3]RAPM_v1!$D$8</definedName>
    <definedName name="TE">[3]RAPM_v1!$D$7</definedName>
    <definedName name="vol_b">'[2]3.4. Amenc Sortino'!$P$4</definedName>
    <definedName name="vol_p">'[2]3.4. Amenc Sortino'!$P$5</definedName>
    <definedName name="W" localSheetId="1">'Ch7-Portfolio-VaR'!$E$26</definedName>
  </definedNames>
  <calcPr calcId="171027"/>
</workbook>
</file>

<file path=xl/calcChain.xml><?xml version="1.0" encoding="utf-8"?>
<calcChain xmlns="http://schemas.openxmlformats.org/spreadsheetml/2006/main">
  <c r="C50" i="11" l="1"/>
  <c r="P54" i="11" l="1"/>
  <c r="P53" i="11"/>
  <c r="P26" i="11"/>
  <c r="P52" i="11"/>
  <c r="N49" i="11"/>
  <c r="N48" i="11"/>
  <c r="L51" i="11" s="1"/>
  <c r="M49" i="11"/>
  <c r="M48" i="11"/>
  <c r="L49" i="11"/>
  <c r="L48" i="11"/>
  <c r="M51" i="11"/>
  <c r="P25" i="11"/>
  <c r="O25" i="11"/>
  <c r="M25" i="11"/>
  <c r="L25" i="11"/>
  <c r="N25" i="11" a="1"/>
  <c r="N25" i="11" s="1"/>
  <c r="N23" i="11"/>
  <c r="N22" i="11"/>
  <c r="M23" i="11"/>
  <c r="L23" i="11"/>
  <c r="M22" i="11"/>
  <c r="L22" i="11"/>
  <c r="N51" i="11" l="1" a="1"/>
  <c r="N52" i="11" s="1"/>
  <c r="N26" i="11"/>
  <c r="N51" i="11" l="1"/>
  <c r="O51" i="11"/>
  <c r="P51" i="11" s="1"/>
  <c r="D46" i="11" l="1"/>
  <c r="C46" i="11"/>
  <c r="D30" i="11"/>
  <c r="C30" i="11"/>
  <c r="C9" i="11"/>
  <c r="D16" i="11" s="1"/>
  <c r="E30" i="11" l="1"/>
  <c r="C16" i="11"/>
  <c r="E16" i="11" s="1"/>
  <c r="C13" i="11"/>
  <c r="D13" i="11"/>
  <c r="E26" i="11"/>
  <c r="D23" i="11"/>
  <c r="C23" i="11"/>
  <c r="D22" i="11"/>
  <c r="C22" i="11"/>
  <c r="D15" i="11"/>
  <c r="C15" i="11"/>
  <c r="E12" i="11"/>
  <c r="E31" i="11" l="1"/>
  <c r="D31" i="11"/>
  <c r="E32" i="11" s="1"/>
  <c r="C31" i="11"/>
  <c r="E15" i="11"/>
  <c r="E14" i="11" s="1"/>
  <c r="E27" i="11" s="1"/>
  <c r="D32" i="11" l="1"/>
  <c r="C32" i="11"/>
  <c r="C35" i="11" s="1"/>
  <c r="E34" i="11"/>
  <c r="C39" i="11"/>
  <c r="D39" i="11"/>
  <c r="E39" i="11"/>
  <c r="C34" i="11"/>
  <c r="C44" i="11" s="1"/>
  <c r="D34" i="11"/>
  <c r="E44" i="11" l="1"/>
  <c r="D44" i="11"/>
  <c r="D36" i="11"/>
  <c r="E41" i="11" s="1"/>
  <c r="C37" i="11"/>
  <c r="C36" i="11"/>
  <c r="D35" i="11"/>
  <c r="E35" i="11"/>
  <c r="E37" i="11"/>
  <c r="D37" i="11"/>
  <c r="D48" i="11" s="1"/>
  <c r="E36" i="11"/>
  <c r="E28" i="11"/>
  <c r="D49" i="11" l="1"/>
  <c r="D50" i="11" s="1"/>
  <c r="C17" i="11"/>
  <c r="D17" i="11"/>
  <c r="E42" i="11"/>
  <c r="C40" i="11"/>
  <c r="C43" i="11" s="1"/>
  <c r="C48" i="11"/>
  <c r="C49" i="11" s="1"/>
  <c r="C38" i="11"/>
  <c r="C42" i="11"/>
  <c r="D42" i="11"/>
  <c r="D38" i="11"/>
  <c r="E38" i="11"/>
  <c r="C41" i="11"/>
  <c r="D41" i="11"/>
  <c r="D40" i="11"/>
  <c r="E43" i="11" s="1"/>
  <c r="E40" i="11"/>
  <c r="C51" i="11" l="1"/>
  <c r="P55" i="11"/>
  <c r="D43" i="11"/>
</calcChain>
</file>

<file path=xl/sharedStrings.xml><?xml version="1.0" encoding="utf-8"?>
<sst xmlns="http://schemas.openxmlformats.org/spreadsheetml/2006/main" count="78" uniqueCount="69">
  <si>
    <t>Inputs/assumptions</t>
  </si>
  <si>
    <t>CAD</t>
  </si>
  <si>
    <t>EUR</t>
  </si>
  <si>
    <t>Portfolio</t>
  </si>
  <si>
    <t>Individual Positions</t>
  </si>
  <si>
    <t>Marginal VaR</t>
  </si>
  <si>
    <t>Component VaR</t>
  </si>
  <si>
    <t>Percent Contrib.</t>
  </si>
  <si>
    <t>VaR Confidence</t>
  </si>
  <si>
    <t>Correlation (i,Port)</t>
  </si>
  <si>
    <t>Cov Matrix</t>
  </si>
  <si>
    <t>Correlation, ρ</t>
  </si>
  <si>
    <t>Volatility, σ</t>
  </si>
  <si>
    <t>Variance, σ^2</t>
  </si>
  <si>
    <t>Weight, w(i)</t>
  </si>
  <si>
    <t>Diversified Portfolio VaR, $P</t>
  </si>
  <si>
    <t>Volatility, σ($P)</t>
  </si>
  <si>
    <t>Total Portfolio Value, $W</t>
  </si>
  <si>
    <t>Beta, β(i,P)</t>
  </si>
  <si>
    <t>Beta, β(i,P), alternate</t>
  </si>
  <si>
    <t>Marginal VaR, ΔVaR</t>
  </si>
  <si>
    <t>N(0,1) deviate, α(p)</t>
  </si>
  <si>
    <t>Covariance(i, P)</t>
  </si>
  <si>
    <t>Correlation, ρ(i,P)</t>
  </si>
  <si>
    <t>Marginal VaR, ΔVaR(i)</t>
  </si>
  <si>
    <t>ΔVaR(i), alternate</t>
  </si>
  <si>
    <t>ΔVaR(i), alt w/ COV</t>
  </si>
  <si>
    <t>Component VaR, alt</t>
  </si>
  <si>
    <t>Est Incremental VaR</t>
  </si>
  <si>
    <t>Two Positions</t>
  </si>
  <si>
    <t>Inc'l VaR (000s)</t>
  </si>
  <si>
    <t>Individual VaR (000s)</t>
  </si>
  <si>
    <t>Position (000s)</t>
  </si>
  <si>
    <t>+/- Position (000s)</t>
  </si>
  <si>
    <t>Jorion Ch 7: Analytical VaR, Jorion's Example</t>
  </si>
  <si>
    <t>Individual, Incremental, and Portfolio VaR (000s)</t>
  </si>
  <si>
    <t>Component VaR (000s)</t>
  </si>
  <si>
    <t>Primary summary sheet</t>
  </si>
  <si>
    <t>Post-multipy</t>
  </si>
  <si>
    <t>Pre-multiply</t>
  </si>
  <si>
    <t>VaR(p)</t>
  </si>
  <si>
    <t>VaR(p+a)</t>
  </si>
  <si>
    <t>$σ(p)</t>
  </si>
  <si>
    <t>$σ(p+a)</t>
  </si>
  <si>
    <t>True Incremental VaR</t>
  </si>
  <si>
    <t>Matrx Math (solves for diversified Portfolio VaR)</t>
  </si>
  <si>
    <t>Matrx Math (for calculating the EXACT incremental VaR by re-pricing)</t>
  </si>
  <si>
    <t>Estimated Inc'l VaR</t>
  </si>
  <si>
    <t>EXACT Inc'l VaR</t>
  </si>
  <si>
    <t>Difference</t>
  </si>
  <si>
    <t>Sheet index:</t>
  </si>
  <si>
    <t>Ch7-Portfolio-VaR</t>
  </si>
  <si>
    <t>Ch7.5.1-Risk-Min</t>
  </si>
  <si>
    <t>Ch7.5.2-PM</t>
  </si>
  <si>
    <t>Ch7-Diversified-VaR</t>
  </si>
  <si>
    <t>Ch7-Formula_7.10</t>
  </si>
  <si>
    <t>Ch17-Surplus-at-Risk-SaR</t>
  </si>
  <si>
    <t>Ch17.5-Risk-Budgeting</t>
  </si>
  <si>
    <t>arch</t>
  </si>
  <si>
    <t>garp17-p2-24-SaR_Portfolio</t>
  </si>
  <si>
    <t>T8.2.5</t>
  </si>
  <si>
    <t>T8.2.4</t>
  </si>
  <si>
    <t>T8.2.3</t>
  </si>
  <si>
    <t>T8.2.2</t>
  </si>
  <si>
    <t>T8.2.1</t>
  </si>
  <si>
    <t>Jorion 7_v2_basic</t>
  </si>
  <si>
    <t>Jorion 7_v2_minRisk</t>
  </si>
  <si>
    <t>Jorion 7_v2_Sharpe</t>
  </si>
  <si>
    <t>Jorion 7_v2_Sharpe_optimized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</si>
</sst>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0.0%"/>
    <numFmt numFmtId="166" formatCode="_(* #,##0.0000_);_(* \(#,##0.0000\);_(* &quot;-&quot;??_);_(@_)"/>
    <numFmt numFmtId="168" formatCode="&quot;$&quot;#,##0.0_);\(&quot;$&quot;#,##0.0\)"/>
    <numFmt numFmtId="169" formatCode="&quot;$&quot;#,##0.00"/>
    <numFmt numFmtId="171" formatCode="0.0000"/>
    <numFmt numFmtId="172" formatCode="_(* #,##0.00000_);_(* \(#,##0.00000\);_(* &quot;-&quot;??_);_(@_)"/>
    <numFmt numFmtId="173" formatCode="0.000%"/>
    <numFmt numFmtId="175" formatCode="#,##0.00\ ;&quot; (&quot;#,##0.00\);&quot; -&quot;#\ ;@\ "/>
    <numFmt numFmtId="178" formatCode="&quot;$&quot;#,##0.000"/>
    <numFmt numFmtId="191" formatCode="&quot;$&quot;#,##0.000_);\(&quot;$&quot;#,##0.000\)"/>
    <numFmt numFmtId="192" formatCode="&quot;$&quot;#,##0.0000_);\(&quot;$&quot;#,##0.0000\)"/>
    <numFmt numFmtId="193" formatCode="0.00000"/>
    <numFmt numFmtId="194" formatCode="_(* #,##0_);_(* \(#,##0\);_(* &quot;-&quot;??_);_(@_)"/>
  </numFmts>
  <fonts count="11" x14ac:knownFonts="1">
    <font>
      <sz val="10"/>
      <color indexed="8"/>
      <name val="Arial"/>
    </font>
    <font>
      <b/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0A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75" fontId="3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0" fontId="4" fillId="0" borderId="0" xfId="0" applyFont="1"/>
    <xf numFmtId="0" fontId="5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5" fillId="10" borderId="0" xfId="0" applyNumberFormat="1" applyFont="1" applyFill="1" applyBorder="1" applyAlignment="1" applyProtection="1"/>
    <xf numFmtId="0" fontId="4" fillId="10" borderId="0" xfId="0" applyNumberFormat="1" applyFont="1" applyFill="1" applyBorder="1" applyAlignment="1" applyProtection="1"/>
    <xf numFmtId="0" fontId="5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5" fillId="12" borderId="0" xfId="0" applyNumberFormat="1" applyFont="1" applyFill="1" applyBorder="1" applyAlignment="1" applyProtection="1"/>
    <xf numFmtId="0" fontId="4" fillId="1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65" fontId="5" fillId="3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5" fillId="4" borderId="1" xfId="0" applyNumberFormat="1" applyFont="1" applyFill="1" applyBorder="1" applyAlignment="1" applyProtection="1"/>
    <xf numFmtId="0" fontId="5" fillId="4" borderId="1" xfId="0" applyNumberFormat="1" applyFont="1" applyFill="1" applyBorder="1" applyAlignment="1" applyProtection="1">
      <alignment horizontal="right"/>
    </xf>
    <xf numFmtId="5" fontId="5" fillId="3" borderId="0" xfId="0" applyNumberFormat="1" applyFont="1" applyFill="1" applyBorder="1" applyAlignment="1" applyProtection="1"/>
    <xf numFmtId="5" fontId="5" fillId="0" borderId="0" xfId="0" applyNumberFormat="1" applyFont="1" applyFill="1" applyBorder="1" applyAlignment="1" applyProtection="1"/>
    <xf numFmtId="165" fontId="4" fillId="0" borderId="0" xfId="2" applyNumberFormat="1" applyFont="1" applyFill="1" applyBorder="1" applyAlignment="1" applyProtection="1"/>
    <xf numFmtId="173" fontId="5" fillId="0" borderId="0" xfId="2" applyNumberFormat="1" applyFont="1" applyFill="1" applyBorder="1" applyAlignment="1" applyProtection="1"/>
    <xf numFmtId="7" fontId="4" fillId="0" borderId="0" xfId="0" applyNumberFormat="1" applyFont="1" applyFill="1" applyBorder="1" applyAlignment="1" applyProtection="1"/>
    <xf numFmtId="172" fontId="4" fillId="0" borderId="0" xfId="1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169" fontId="5" fillId="5" borderId="0" xfId="0" applyNumberFormat="1" applyFont="1" applyFill="1" applyBorder="1" applyAlignment="1" applyProtection="1"/>
    <xf numFmtId="0" fontId="5" fillId="7" borderId="0" xfId="0" applyNumberFormat="1" applyFont="1" applyFill="1" applyBorder="1" applyAlignment="1" applyProtection="1"/>
    <xf numFmtId="169" fontId="5" fillId="7" borderId="0" xfId="0" applyNumberFormat="1" applyFont="1" applyFill="1" applyBorder="1" applyAlignment="1" applyProtection="1"/>
    <xf numFmtId="2" fontId="5" fillId="3" borderId="0" xfId="0" applyNumberFormat="1" applyFont="1" applyFill="1" applyBorder="1" applyAlignment="1" applyProtection="1"/>
    <xf numFmtId="0" fontId="5" fillId="4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/>
    <xf numFmtId="0" fontId="4" fillId="4" borderId="1" xfId="0" applyNumberFormat="1" applyFont="1" applyFill="1" applyBorder="1" applyAlignment="1" applyProtection="1"/>
    <xf numFmtId="0" fontId="4" fillId="4" borderId="3" xfId="0" applyNumberFormat="1" applyFont="1" applyFill="1" applyBorder="1" applyAlignment="1" applyProtection="1"/>
    <xf numFmtId="5" fontId="4" fillId="0" borderId="0" xfId="0" applyNumberFormat="1" applyFont="1" applyFill="1" applyBorder="1" applyAlignment="1" applyProtection="1"/>
    <xf numFmtId="168" fontId="5" fillId="0" borderId="0" xfId="0" applyNumberFormat="1" applyFont="1" applyFill="1" applyBorder="1" applyAlignment="1" applyProtection="1"/>
    <xf numFmtId="0" fontId="5" fillId="4" borderId="1" xfId="0" applyNumberFormat="1" applyFont="1" applyFill="1" applyBorder="1" applyAlignment="1" applyProtection="1">
      <alignment horizontal="left"/>
    </xf>
    <xf numFmtId="0" fontId="5" fillId="0" borderId="0" xfId="0" quotePrefix="1" applyNumberFormat="1" applyFont="1" applyFill="1" applyBorder="1" applyAlignment="1" applyProtection="1"/>
    <xf numFmtId="171" fontId="5" fillId="0" borderId="0" xfId="0" applyNumberFormat="1" applyFont="1" applyFill="1" applyBorder="1" applyAlignment="1" applyProtection="1"/>
    <xf numFmtId="0" fontId="5" fillId="14" borderId="0" xfId="0" applyNumberFormat="1" applyFont="1" applyFill="1" applyBorder="1" applyAlignment="1" applyProtection="1"/>
    <xf numFmtId="171" fontId="5" fillId="14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171" fontId="5" fillId="2" borderId="0" xfId="0" applyNumberFormat="1" applyFont="1" applyFill="1" applyBorder="1" applyAlignment="1" applyProtection="1"/>
    <xf numFmtId="0" fontId="5" fillId="11" borderId="0" xfId="0" applyNumberFormat="1" applyFont="1" applyFill="1" applyBorder="1" applyAlignment="1" applyProtection="1"/>
    <xf numFmtId="169" fontId="5" fillId="11" borderId="0" xfId="0" applyNumberFormat="1" applyFont="1" applyFill="1" applyBorder="1" applyAlignment="1" applyProtection="1"/>
    <xf numFmtId="43" fontId="4" fillId="0" borderId="0" xfId="0" applyNumberFormat="1" applyFont="1"/>
    <xf numFmtId="165" fontId="5" fillId="11" borderId="0" xfId="0" applyNumberFormat="1" applyFont="1" applyFill="1" applyBorder="1" applyAlignment="1" applyProtection="1"/>
    <xf numFmtId="165" fontId="5" fillId="11" borderId="0" xfId="2" applyNumberFormat="1" applyFont="1" applyFill="1" applyBorder="1" applyAlignment="1" applyProtection="1"/>
    <xf numFmtId="169" fontId="5" fillId="6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178" fontId="5" fillId="7" borderId="0" xfId="0" applyNumberFormat="1" applyFont="1" applyFill="1" applyBorder="1" applyAlignment="1" applyProtection="1"/>
    <xf numFmtId="0" fontId="6" fillId="13" borderId="0" xfId="0" applyNumberFormat="1" applyFont="1" applyFill="1" applyBorder="1" applyAlignment="1" applyProtection="1"/>
    <xf numFmtId="171" fontId="5" fillId="8" borderId="0" xfId="0" applyNumberFormat="1" applyFont="1" applyFill="1" applyBorder="1" applyAlignment="1" applyProtection="1"/>
    <xf numFmtId="7" fontId="5" fillId="7" borderId="0" xfId="0" applyNumberFormat="1" applyFont="1" applyFill="1" applyBorder="1" applyAlignment="1" applyProtection="1"/>
    <xf numFmtId="0" fontId="5" fillId="4" borderId="3" xfId="0" applyNumberFormat="1" applyFont="1" applyFill="1" applyBorder="1" applyAlignment="1" applyProtection="1"/>
    <xf numFmtId="191" fontId="5" fillId="2" borderId="0" xfId="0" applyNumberFormat="1" applyFont="1" applyFill="1" applyBorder="1" applyAlignment="1" applyProtection="1"/>
    <xf numFmtId="7" fontId="4" fillId="0" borderId="0" xfId="0" applyNumberFormat="1" applyFont="1"/>
    <xf numFmtId="191" fontId="5" fillId="2" borderId="3" xfId="0" applyNumberFormat="1" applyFont="1" applyFill="1" applyBorder="1" applyAlignment="1" applyProtection="1"/>
    <xf numFmtId="192" fontId="5" fillId="0" borderId="0" xfId="0" applyNumberFormat="1" applyFont="1"/>
    <xf numFmtId="193" fontId="5" fillId="8" borderId="0" xfId="0" applyNumberFormat="1" applyFont="1" applyFill="1" applyBorder="1" applyAlignment="1" applyProtection="1"/>
    <xf numFmtId="193" fontId="5" fillId="7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/>
    <xf numFmtId="173" fontId="4" fillId="0" borderId="0" xfId="2" applyNumberFormat="1" applyFont="1"/>
    <xf numFmtId="166" fontId="4" fillId="0" borderId="4" xfId="0" applyNumberFormat="1" applyFont="1" applyFill="1" applyBorder="1" applyAlignment="1" applyProtection="1"/>
    <xf numFmtId="166" fontId="4" fillId="0" borderId="5" xfId="0" applyNumberFormat="1" applyFont="1" applyFill="1" applyBorder="1" applyAlignment="1" applyProtection="1"/>
    <xf numFmtId="166" fontId="4" fillId="0" borderId="6" xfId="0" applyNumberFormat="1" applyFont="1" applyFill="1" applyBorder="1" applyAlignment="1" applyProtection="1"/>
    <xf numFmtId="166" fontId="4" fillId="0" borderId="7" xfId="0" applyNumberFormat="1" applyFont="1" applyFill="1" applyBorder="1" applyAlignment="1" applyProtection="1"/>
    <xf numFmtId="5" fontId="4" fillId="0" borderId="9" xfId="0" applyNumberFormat="1" applyFont="1" applyBorder="1"/>
    <xf numFmtId="5" fontId="4" fillId="0" borderId="10" xfId="0" applyNumberFormat="1" applyFont="1" applyBorder="1"/>
    <xf numFmtId="5" fontId="4" fillId="0" borderId="11" xfId="0" applyNumberFormat="1" applyFont="1" applyBorder="1"/>
    <xf numFmtId="5" fontId="4" fillId="0" borderId="12" xfId="0" applyNumberFormat="1" applyFont="1" applyBorder="1"/>
    <xf numFmtId="2" fontId="4" fillId="0" borderId="9" xfId="0" applyNumberFormat="1" applyFont="1" applyBorder="1"/>
    <xf numFmtId="2" fontId="4" fillId="0" borderId="10" xfId="0" applyNumberFormat="1" applyFont="1" applyBorder="1"/>
    <xf numFmtId="194" fontId="4" fillId="0" borderId="8" xfId="1" applyNumberFormat="1" applyFont="1" applyBorder="1"/>
    <xf numFmtId="5" fontId="5" fillId="11" borderId="9" xfId="0" applyNumberFormat="1" applyFont="1" applyFill="1" applyBorder="1"/>
    <xf numFmtId="5" fontId="5" fillId="0" borderId="10" xfId="0" applyNumberFormat="1" applyFont="1" applyBorder="1"/>
    <xf numFmtId="173" fontId="4" fillId="0" borderId="0" xfId="2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Font="1"/>
    <xf numFmtId="0" fontId="10" fillId="0" borderId="0" xfId="7" quotePrefix="1"/>
  </cellXfs>
  <cellStyles count="8">
    <cellStyle name="Comma" xfId="1" builtinId="3"/>
    <cellStyle name="Comma 2" xfId="4"/>
    <cellStyle name="Comma 3" xfId="6"/>
    <cellStyle name="Hyperlink" xfId="7" builtinId="8"/>
    <cellStyle name="Normal" xfId="0" builtinId="0"/>
    <cellStyle name="Normal 2" xfId="3"/>
    <cellStyle name="Normal 3" xfId="5"/>
    <cellStyle name="Percent" xfId="2" builtinId="5"/>
  </cellStyles>
  <dxfs count="0"/>
  <tableStyles count="0" defaultTableStyle="TableStyleMedium9" defaultPivotStyle="PivotStyleLight16"/>
  <colors>
    <mruColors>
      <color rgb="FFFFFFCC"/>
      <color rgb="FFFFFF99"/>
      <color rgb="FFE5E5FF"/>
      <color rgb="FFFFF0AF"/>
      <color rgb="FFCCECFF"/>
      <color rgb="FFE2FFC5"/>
      <color rgb="FFFFF3D1"/>
      <color rgb="FFFFE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1a/1_a_6_practicebag_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bt-content-shared/FRM/FRM%20XLS/T1%202013%20XLS%20bundle_v03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invest/RAPM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tice_bag_1a"/>
      <sheetName val="Simple one-asset VaR"/>
      <sheetName val="CML"/>
      <sheetName val="SML"/>
      <sheetName val="SML_CAPM"/>
      <sheetName val="RAPMs"/>
      <sheetName val="Grinold 7.1 &amp; 7.2"/>
      <sheetName val="Sheet2"/>
    </sheetNames>
    <sheetDataSet>
      <sheetData sheetId="0"/>
      <sheetData sheetId="1">
        <row r="5">
          <cell r="C5">
            <v>0.01</v>
          </cell>
        </row>
      </sheetData>
      <sheetData sheetId="2">
        <row r="30">
          <cell r="K30">
            <v>0.1</v>
          </cell>
        </row>
      </sheetData>
      <sheetData sheetId="3">
        <row r="2">
          <cell r="D2">
            <v>7.0000000000000007E-2</v>
          </cell>
        </row>
        <row r="22">
          <cell r="D22">
            <v>5.1794872097691153E-2</v>
          </cell>
        </row>
        <row r="29">
          <cell r="D29">
            <v>-1.4820908808832704E-8</v>
          </cell>
          <cell r="E29">
            <v>0.579207911169212</v>
          </cell>
          <cell r="F29">
            <v>1.0618811828276458</v>
          </cell>
          <cell r="G29">
            <v>1</v>
          </cell>
          <cell r="H29">
            <v>1.5445544544860796</v>
          </cell>
          <cell r="I29">
            <v>2.0272277261445137</v>
          </cell>
          <cell r="J29">
            <v>2.5099009978029474</v>
          </cell>
        </row>
      </sheetData>
      <sheetData sheetId="4">
        <row r="6">
          <cell r="D6">
            <v>0.08</v>
          </cell>
        </row>
      </sheetData>
      <sheetData sheetId="5">
        <row r="19">
          <cell r="D19">
            <v>0.41025641004275859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1. IFC ERM (discount rates)"/>
      <sheetName val="2.5. Elton PP Curve"/>
      <sheetName val="2.5b. Elton Market Portfolio"/>
      <sheetName val="2.13 Elton CML"/>
      <sheetName val="2.13. Elton CAPM (SML)"/>
      <sheetName val="3.4 Amenc RAPM"/>
      <sheetName val="3.4. Bodie (RAPM)"/>
      <sheetName val="3.4. Amenc Sortino"/>
      <sheetName val="3.4. Amence RAPM PracticeBag"/>
      <sheetName val="A.1. IntroToVaR (2Assets)"/>
      <sheetName val="A.2. VaR HS"/>
      <sheetName val="A.3. Stulz (bankruptcy)"/>
      <sheetName val="A.3. Stulz (taxes)"/>
      <sheetName val="A.3. Stulz (overhang)"/>
      <sheetName val="A.4. APT (Grinold)"/>
      <sheetName val="A.4. APT (S&amp;P)"/>
      <sheetName val="A.4. APT (Port)"/>
    </sheetNames>
    <sheetDataSet>
      <sheetData sheetId="0"/>
      <sheetData sheetId="1"/>
      <sheetData sheetId="2">
        <row r="10">
          <cell r="H10">
            <v>0.19</v>
          </cell>
        </row>
      </sheetData>
      <sheetData sheetId="3">
        <row r="23">
          <cell r="H23">
            <v>0.19</v>
          </cell>
        </row>
      </sheetData>
      <sheetData sheetId="4">
        <row r="10">
          <cell r="H10">
            <v>0.06</v>
          </cell>
        </row>
      </sheetData>
      <sheetData sheetId="5">
        <row r="32">
          <cell r="C32">
            <v>6.0689354744398141E-2</v>
          </cell>
        </row>
      </sheetData>
      <sheetData sheetId="6">
        <row r="10">
          <cell r="D10">
            <v>0.04</v>
          </cell>
          <cell r="E10">
            <v>0.05</v>
          </cell>
          <cell r="F10">
            <v>0.06</v>
          </cell>
          <cell r="G10">
            <v>0.06</v>
          </cell>
          <cell r="H10">
            <v>7.0000000000000007E-2</v>
          </cell>
          <cell r="I10">
            <v>0.08</v>
          </cell>
          <cell r="J10">
            <v>0.08</v>
          </cell>
        </row>
        <row r="21">
          <cell r="D21">
            <v>0.66666666666666674</v>
          </cell>
        </row>
      </sheetData>
      <sheetData sheetId="7"/>
      <sheetData sheetId="8">
        <row r="2">
          <cell r="K2">
            <v>0.04</v>
          </cell>
        </row>
        <row r="3">
          <cell r="K3">
            <v>0.05</v>
          </cell>
        </row>
        <row r="4">
          <cell r="P4">
            <v>0.1</v>
          </cell>
        </row>
        <row r="5">
          <cell r="O5">
            <v>0.08</v>
          </cell>
          <cell r="P5">
            <v>0.1</v>
          </cell>
        </row>
        <row r="6">
          <cell r="K6">
            <v>4.4833882882250896E-2</v>
          </cell>
          <cell r="O6">
            <v>0.5</v>
          </cell>
        </row>
      </sheetData>
      <sheetData sheetId="9"/>
      <sheetData sheetId="10"/>
      <sheetData sheetId="11">
        <row r="5">
          <cell r="C5">
            <v>0.01</v>
          </cell>
        </row>
        <row r="6">
          <cell r="C6">
            <v>0.99</v>
          </cell>
        </row>
        <row r="7">
          <cell r="C7">
            <v>1.0000000000000009E-2</v>
          </cell>
        </row>
        <row r="8">
          <cell r="C8">
            <v>10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M_v1"/>
      <sheetName val="RAPM_v1 (screen)"/>
    </sheetNames>
    <sheetDataSet>
      <sheetData sheetId="0">
        <row r="4">
          <cell r="D4">
            <v>0.14000000000000001</v>
          </cell>
          <cell r="H4">
            <v>0.04</v>
          </cell>
        </row>
        <row r="5">
          <cell r="D5">
            <v>0.3</v>
          </cell>
        </row>
        <row r="7">
          <cell r="D7">
            <v>0.03</v>
          </cell>
        </row>
        <row r="8">
          <cell r="D8">
            <v>5</v>
          </cell>
        </row>
        <row r="9">
          <cell r="H9">
            <v>0.10400000000000001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K21" sqref="K21"/>
    </sheetView>
  </sheetViews>
  <sheetFormatPr defaultColWidth="9.109375" defaultRowHeight="13.2" x14ac:dyDescent="0.25"/>
  <cols>
    <col min="1" max="1" width="26.5546875" style="79" bestFit="1" customWidth="1"/>
    <col min="2" max="16384" width="9.109375" style="79"/>
  </cols>
  <sheetData>
    <row r="1" spans="1:1" ht="15.6" x14ac:dyDescent="0.3">
      <c r="A1" s="78" t="s">
        <v>50</v>
      </c>
    </row>
    <row r="2" spans="1:1" x14ac:dyDescent="0.25">
      <c r="A2" s="80" t="s">
        <v>51</v>
      </c>
    </row>
    <row r="3" spans="1:1" x14ac:dyDescent="0.25">
      <c r="A3" s="80" t="s">
        <v>52</v>
      </c>
    </row>
    <row r="4" spans="1:1" x14ac:dyDescent="0.25">
      <c r="A4" s="80" t="s">
        <v>53</v>
      </c>
    </row>
    <row r="5" spans="1:1" x14ac:dyDescent="0.25">
      <c r="A5" s="80" t="s">
        <v>54</v>
      </c>
    </row>
    <row r="6" spans="1:1" x14ac:dyDescent="0.25">
      <c r="A6" s="80" t="s">
        <v>55</v>
      </c>
    </row>
    <row r="7" spans="1:1" x14ac:dyDescent="0.25">
      <c r="A7" s="80" t="s">
        <v>56</v>
      </c>
    </row>
    <row r="8" spans="1:1" x14ac:dyDescent="0.25">
      <c r="A8" s="80" t="s">
        <v>57</v>
      </c>
    </row>
    <row r="9" spans="1:1" x14ac:dyDescent="0.25">
      <c r="A9" s="80" t="s">
        <v>58</v>
      </c>
    </row>
    <row r="10" spans="1:1" x14ac:dyDescent="0.25">
      <c r="A10" s="80" t="s">
        <v>59</v>
      </c>
    </row>
    <row r="11" spans="1:1" x14ac:dyDescent="0.25">
      <c r="A11" s="80" t="s">
        <v>60</v>
      </c>
    </row>
    <row r="12" spans="1:1" x14ac:dyDescent="0.25">
      <c r="A12" s="80" t="s">
        <v>61</v>
      </c>
    </row>
    <row r="13" spans="1:1" x14ac:dyDescent="0.25">
      <c r="A13" s="80" t="s">
        <v>62</v>
      </c>
    </row>
    <row r="14" spans="1:1" x14ac:dyDescent="0.25">
      <c r="A14" s="80" t="s">
        <v>63</v>
      </c>
    </row>
    <row r="15" spans="1:1" x14ac:dyDescent="0.25">
      <c r="A15" s="80" t="s">
        <v>64</v>
      </c>
    </row>
    <row r="16" spans="1:1" x14ac:dyDescent="0.25">
      <c r="A16" s="80" t="s">
        <v>65</v>
      </c>
    </row>
    <row r="17" spans="1:1" x14ac:dyDescent="0.25">
      <c r="A17" s="80" t="s">
        <v>66</v>
      </c>
    </row>
    <row r="18" spans="1:1" x14ac:dyDescent="0.25">
      <c r="A18" s="80" t="s">
        <v>67</v>
      </c>
    </row>
    <row r="19" spans="1:1" x14ac:dyDescent="0.25">
      <c r="A19" s="80" t="s">
        <v>68</v>
      </c>
    </row>
  </sheetData>
  <hyperlinks>
    <hyperlink ref="A2" location="'Ch7-Portfolio-VaR'!A1" display="'Ch7-Portfolio-VaR'!A1"/>
    <hyperlink ref="A3" location="'Ch7.5.1-Risk-Min'!A1" display="'Ch7.5.1-Risk-Min'!A1"/>
    <hyperlink ref="A4" location="'Ch7.5.2-PM'!A1" display="'Ch7.5.2-PM'!A1"/>
    <hyperlink ref="A5" location="'Ch7-Diversified-VaR'!A1" display="'Ch7-Diversified-VaR'!A1"/>
    <hyperlink ref="A6" location="'Ch7-Formula_7.10'!A1" display="'Ch7-Formula_7.10'!A1"/>
    <hyperlink ref="A7" location="'Ch17-Surplus-at-Risk-SaR'!A1" display="'Ch17-Surplus-at-Risk-SaR'!A1"/>
    <hyperlink ref="A8" location="'Ch17.5-Risk-Budgeting'!A1" display="'Ch17.5-Risk-Budgeting'!A1"/>
    <hyperlink ref="A9" location="'arch'!A1" display="'arch'!A1"/>
    <hyperlink ref="A10" location="'garp17-p2-24-SaR_Portfolio'!A1" display="'garp17-p2-24-SaR_Portfolio'!A1"/>
    <hyperlink ref="A11" location="'T8.2.5'!A1" display="'T8.2.5'!A1"/>
    <hyperlink ref="A12" location="'T8.2.4'!A1" display="'T8.2.4'!A1"/>
    <hyperlink ref="A13" location="'T8.2.3'!A1" display="'T8.2.3'!A1"/>
    <hyperlink ref="A14" location="'T8.2.2'!A1" display="'T8.2.2'!A1"/>
    <hyperlink ref="A15" location="'T8.2.1'!A1" display="'T8.2.1'!A1"/>
    <hyperlink ref="A16" location="'Jorion 7_v2_basic'!A1" display="'Jorion 7_v2_basic'!A1"/>
    <hyperlink ref="A17" location="'Jorion 7_v2_minRisk'!A1" display="'Jorion 7_v2_minRisk'!A1"/>
    <hyperlink ref="A18" location="'Jorion 7_v2_Sharpe'!A1" display="'Jorion 7_v2_Sharpe'!A1"/>
    <hyperlink ref="A19" location="'Jorion 7_v2_Sharpe_optimized'!A1" display="'Jorion 7_v2_Sharpe_optimized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zoomScaleNormal="100" zoomScaleSheetLayoutView="1" workbookViewId="0"/>
  </sheetViews>
  <sheetFormatPr defaultColWidth="12.5546875" defaultRowHeight="14.4" x14ac:dyDescent="0.3"/>
  <cols>
    <col min="1" max="1" width="1.6640625" style="1" customWidth="1"/>
    <col min="2" max="2" width="20.6640625" style="1" customWidth="1"/>
    <col min="3" max="5" width="9.6640625" style="1" customWidth="1"/>
    <col min="6" max="6" width="40.88671875" style="1" customWidth="1"/>
    <col min="7" max="10" width="9.6640625" style="1" customWidth="1"/>
    <col min="11" max="17" width="9.6640625" style="3" customWidth="1"/>
    <col min="18" max="16384" width="12.5546875" style="3"/>
  </cols>
  <sheetData>
    <row r="1" spans="2:8" x14ac:dyDescent="0.3">
      <c r="B1" s="2" t="s">
        <v>34</v>
      </c>
      <c r="C1" s="2"/>
      <c r="D1" s="2"/>
      <c r="E1" s="2"/>
    </row>
    <row r="2" spans="2:8" x14ac:dyDescent="0.3">
      <c r="B2" s="51" t="s">
        <v>37</v>
      </c>
      <c r="C2" s="2"/>
      <c r="D2" s="2"/>
      <c r="E2" s="2"/>
    </row>
    <row r="3" spans="2:8" x14ac:dyDescent="0.3">
      <c r="B3" s="4" t="s">
        <v>0</v>
      </c>
      <c r="C3" s="5"/>
      <c r="D3" s="5"/>
      <c r="E3" s="5"/>
    </row>
    <row r="4" spans="2:8" x14ac:dyDescent="0.3">
      <c r="B4" s="6" t="s">
        <v>35</v>
      </c>
      <c r="C4" s="7"/>
      <c r="D4" s="7"/>
      <c r="E4" s="7"/>
    </row>
    <row r="5" spans="2:8" x14ac:dyDescent="0.3">
      <c r="B5" s="8" t="s">
        <v>5</v>
      </c>
      <c r="C5" s="9"/>
      <c r="D5" s="9"/>
      <c r="E5" s="9"/>
    </row>
    <row r="6" spans="2:8" x14ac:dyDescent="0.3">
      <c r="B6" s="10" t="s">
        <v>36</v>
      </c>
      <c r="C6" s="11"/>
      <c r="D6" s="11"/>
      <c r="E6" s="11"/>
    </row>
    <row r="8" spans="2:8" x14ac:dyDescent="0.3">
      <c r="B8" s="12" t="s">
        <v>8</v>
      </c>
      <c r="C8" s="13">
        <v>0.95</v>
      </c>
    </row>
    <row r="9" spans="2:8" x14ac:dyDescent="0.3">
      <c r="B9" s="12" t="s">
        <v>21</v>
      </c>
      <c r="C9" s="14">
        <f>_xlfn.NORM.S.INV(C8)</f>
        <v>1.6448536269514715</v>
      </c>
      <c r="E9" s="14"/>
    </row>
    <row r="11" spans="2:8" x14ac:dyDescent="0.3">
      <c r="B11" s="15" t="s">
        <v>29</v>
      </c>
      <c r="C11" s="16" t="s">
        <v>1</v>
      </c>
      <c r="D11" s="16" t="s">
        <v>2</v>
      </c>
      <c r="E11" s="16" t="s">
        <v>3</v>
      </c>
    </row>
    <row r="12" spans="2:8" x14ac:dyDescent="0.3">
      <c r="B12" s="12" t="s">
        <v>32</v>
      </c>
      <c r="C12" s="17">
        <v>2000</v>
      </c>
      <c r="D12" s="17">
        <v>1000</v>
      </c>
      <c r="E12" s="18">
        <f>C12+D12</f>
        <v>3000</v>
      </c>
      <c r="H12" s="21"/>
    </row>
    <row r="13" spans="2:8" x14ac:dyDescent="0.3">
      <c r="B13" s="12" t="s">
        <v>14</v>
      </c>
      <c r="C13" s="19">
        <f>C12/($C$12+$D$12)</f>
        <v>0.66666666666666663</v>
      </c>
      <c r="D13" s="19">
        <f>D12/($C$12+$D$12)</f>
        <v>0.33333333333333331</v>
      </c>
    </row>
    <row r="14" spans="2:8" x14ac:dyDescent="0.3">
      <c r="B14" s="12" t="s">
        <v>12</v>
      </c>
      <c r="C14" s="13">
        <v>0.05</v>
      </c>
      <c r="D14" s="13">
        <v>0.12</v>
      </c>
      <c r="E14" s="20">
        <f>SQRT(E15)</f>
        <v>5.2068331172711028E-2</v>
      </c>
      <c r="F14" s="21"/>
      <c r="H14" s="21"/>
    </row>
    <row r="15" spans="2:8" x14ac:dyDescent="0.3">
      <c r="B15" s="12" t="s">
        <v>13</v>
      </c>
      <c r="C15" s="22">
        <f>C14^2</f>
        <v>2.5000000000000005E-3</v>
      </c>
      <c r="D15" s="22">
        <f>D14^2</f>
        <v>1.44E-2</v>
      </c>
      <c r="E15" s="22">
        <f>C13^2*C14^2+D13^2*D14^2+2*C13*D13*C14*D14*C19</f>
        <v>2.7111111111111112E-3</v>
      </c>
    </row>
    <row r="16" spans="2:8" x14ac:dyDescent="0.3">
      <c r="B16" s="23" t="s">
        <v>31</v>
      </c>
      <c r="C16" s="24">
        <f>C12*C14*$C$9</f>
        <v>164.48536269514716</v>
      </c>
      <c r="D16" s="24">
        <f>D12*D14*$C$9</f>
        <v>197.38243523417657</v>
      </c>
      <c r="E16" s="24">
        <f>C16+D16</f>
        <v>361.86779792932373</v>
      </c>
    </row>
    <row r="17" spans="2:17" x14ac:dyDescent="0.3">
      <c r="B17" s="25" t="s">
        <v>30</v>
      </c>
      <c r="C17" s="26">
        <f>E28-D16</f>
        <v>59.551914902055728</v>
      </c>
      <c r="D17" s="26">
        <f>E28-C16</f>
        <v>92.448987441085137</v>
      </c>
      <c r="E17" s="22"/>
    </row>
    <row r="18" spans="2:17" x14ac:dyDescent="0.3">
      <c r="C18" s="22"/>
      <c r="D18" s="22"/>
      <c r="E18" s="22"/>
    </row>
    <row r="19" spans="2:17" x14ac:dyDescent="0.3">
      <c r="B19" s="12" t="s">
        <v>11</v>
      </c>
      <c r="C19" s="27">
        <v>0</v>
      </c>
    </row>
    <row r="20" spans="2:17" x14ac:dyDescent="0.3">
      <c r="C20" s="14"/>
    </row>
    <row r="21" spans="2:17" x14ac:dyDescent="0.3">
      <c r="B21" s="28" t="s">
        <v>10</v>
      </c>
      <c r="C21" s="29" t="s">
        <v>1</v>
      </c>
      <c r="D21" s="29" t="s">
        <v>2</v>
      </c>
      <c r="J21" s="54" t="s">
        <v>45</v>
      </c>
      <c r="K21" s="54"/>
      <c r="L21" s="28"/>
      <c r="M21" s="28"/>
      <c r="N21" s="54"/>
      <c r="O21" s="54"/>
      <c r="P21" s="54"/>
    </row>
    <row r="22" spans="2:17" x14ac:dyDescent="0.3">
      <c r="B22" s="30" t="s">
        <v>1</v>
      </c>
      <c r="C22" s="31">
        <f>C14^2</f>
        <v>2.5000000000000005E-3</v>
      </c>
      <c r="D22" s="31">
        <f>$C$14*$D$14*$C$19</f>
        <v>0</v>
      </c>
      <c r="J22" s="12" t="s">
        <v>38</v>
      </c>
      <c r="L22" s="63">
        <f>C22</f>
        <v>2.5000000000000005E-3</v>
      </c>
      <c r="M22" s="64">
        <f>D22</f>
        <v>0</v>
      </c>
      <c r="N22" s="67">
        <f>C12</f>
        <v>2000</v>
      </c>
    </row>
    <row r="23" spans="2:17" x14ac:dyDescent="0.3">
      <c r="B23" s="30" t="s">
        <v>2</v>
      </c>
      <c r="C23" s="31">
        <f>$C$14*$D$14*$C$19</f>
        <v>0</v>
      </c>
      <c r="D23" s="31">
        <f>D14^2</f>
        <v>1.44E-2</v>
      </c>
      <c r="J23" s="12"/>
      <c r="L23" s="65">
        <f>C23</f>
        <v>0</v>
      </c>
      <c r="M23" s="66">
        <f>D23</f>
        <v>1.44E-2</v>
      </c>
      <c r="N23" s="68">
        <f>D12</f>
        <v>1000</v>
      </c>
    </row>
    <row r="25" spans="2:17" x14ac:dyDescent="0.3">
      <c r="B25" s="15" t="s">
        <v>3</v>
      </c>
      <c r="C25" s="32"/>
      <c r="D25" s="32"/>
      <c r="E25" s="33"/>
      <c r="J25" s="12" t="s">
        <v>39</v>
      </c>
      <c r="L25" s="69">
        <f>N22</f>
        <v>2000</v>
      </c>
      <c r="M25" s="70">
        <f>N23</f>
        <v>1000</v>
      </c>
      <c r="N25" s="71">
        <f t="array" ref="N25:N26">MMULT(L22:M23,N22:N23)</f>
        <v>5.0000000000000009</v>
      </c>
      <c r="O25" s="73">
        <f>MMULT(L25:M25,N25:N26)</f>
        <v>24400</v>
      </c>
      <c r="P25" s="55">
        <f>SQRT(O25)</f>
        <v>156.20499351813308</v>
      </c>
      <c r="Q25" s="3" t="s">
        <v>42</v>
      </c>
    </row>
    <row r="26" spans="2:17" x14ac:dyDescent="0.3">
      <c r="B26" s="12" t="s">
        <v>17</v>
      </c>
      <c r="D26" s="34"/>
      <c r="E26" s="35">
        <f>C12+D12</f>
        <v>3000</v>
      </c>
      <c r="N26" s="72">
        <v>14.4</v>
      </c>
      <c r="P26" s="55">
        <f>P25*$C$9</f>
        <v>256.9343501362323</v>
      </c>
      <c r="Q26" s="3" t="s">
        <v>40</v>
      </c>
    </row>
    <row r="27" spans="2:17" x14ac:dyDescent="0.3">
      <c r="B27" s="12" t="s">
        <v>16</v>
      </c>
      <c r="D27" s="34"/>
      <c r="E27" s="35">
        <f>E14*W</f>
        <v>156.20499351813308</v>
      </c>
    </row>
    <row r="28" spans="2:17" x14ac:dyDescent="0.3">
      <c r="B28" s="12" t="s">
        <v>15</v>
      </c>
      <c r="D28" s="34"/>
      <c r="E28" s="53">
        <f>C9*E27</f>
        <v>256.9343501362323</v>
      </c>
      <c r="F28" s="21"/>
      <c r="H28" s="21"/>
      <c r="I28" s="21"/>
    </row>
    <row r="30" spans="2:17" x14ac:dyDescent="0.3">
      <c r="B30" s="15" t="s">
        <v>4</v>
      </c>
      <c r="C30" s="16" t="str">
        <f>C11</f>
        <v>CAD</v>
      </c>
      <c r="D30" s="16" t="str">
        <f>D11</f>
        <v>EUR</v>
      </c>
      <c r="E30" s="36" t="str">
        <f>" Formulas (shown for "&amp;D30&amp;" only)"</f>
        <v xml:space="preserve"> Formulas (shown for EUR only)</v>
      </c>
      <c r="F30" s="33"/>
    </row>
    <row r="31" spans="2:17" x14ac:dyDescent="0.3">
      <c r="B31" s="37" t="s">
        <v>22</v>
      </c>
      <c r="C31" s="38">
        <f>C13*C14^2+D13*C23</f>
        <v>1.666666666666667E-3</v>
      </c>
      <c r="D31" s="38">
        <f>D13*D14^2+C13*C23</f>
        <v>4.7999999999999996E-3</v>
      </c>
      <c r="E31" s="1" t="str">
        <f>"= "&amp;TEXT(D13,"0.00%")&amp;"*"&amp;TEXT(D14,"0.00%")&amp;"^2 + "&amp;TEXT(C13,"0.00%")&amp;"*"&amp;TEXT(C23,"0.00")</f>
        <v>= 33.33%*12.00%^2 + 66.67%*0.00</v>
      </c>
    </row>
    <row r="32" spans="2:17" x14ac:dyDescent="0.3">
      <c r="B32" s="37" t="s">
        <v>23</v>
      </c>
      <c r="C32" s="38">
        <f>C31/($E$14*C14)</f>
        <v>0.64018439966447993</v>
      </c>
      <c r="D32" s="38">
        <f>D31/($E$14*D14)</f>
        <v>0.76822127959737574</v>
      </c>
      <c r="E32" s="1" t="str">
        <f>"= COV("&amp;D30&amp;",P)/[σ(P)*σ("&amp;D30&amp;")]="&amp;TEXT(D31,"0.00000")&amp;" / ["&amp;TEXT(E14,"0.00%")&amp;"*"&amp;TEXT(D14,"0.00%")&amp;"]"</f>
        <v>= COV(EUR,P)/[σ(P)*σ(EUR)]=0.00480 / [5.21%*12.00%]</v>
      </c>
    </row>
    <row r="33" spans="2:16" x14ac:dyDescent="0.3">
      <c r="C33" s="12"/>
      <c r="D33" s="12"/>
    </row>
    <row r="34" spans="2:16" x14ac:dyDescent="0.3">
      <c r="B34" s="39" t="s">
        <v>18</v>
      </c>
      <c r="C34" s="40">
        <f>C31/$E$15</f>
        <v>0.61475409836065587</v>
      </c>
      <c r="D34" s="40">
        <f>D31/$E$15</f>
        <v>1.7704918032786883</v>
      </c>
      <c r="E34" s="1" t="str">
        <f>"= COV("&amp;D30&amp;",P)/σ^2(P) = "&amp;TEXT(D31,"0.00000")&amp;" / "&amp;TEXT($E$15,"0,0.0000")</f>
        <v>= COV(EUR,P)/σ^2(P) = 0.00480 / 00.0027</v>
      </c>
    </row>
    <row r="35" spans="2:16" x14ac:dyDescent="0.3">
      <c r="B35" s="39" t="s">
        <v>19</v>
      </c>
      <c r="C35" s="40">
        <f>C32*C14/$E$14</f>
        <v>0.61475409836065587</v>
      </c>
      <c r="D35" s="40">
        <f>D32*D14/$E$14</f>
        <v>1.7704918032786883</v>
      </c>
      <c r="E35" s="1" t="str">
        <f>"= ρ("&amp;D30&amp;",P)*σ("&amp;D30&amp;")/σ(P) = "&amp;TEXT(D32,"0.00000")&amp;" * "&amp;TEXT(D14,"0.00%")&amp;" / "&amp;TEXT(E14,"0.000%")</f>
        <v>= ρ(EUR,P)*σ(EUR)/σ(P) = 0.76822 * 12.00% / 5.207%</v>
      </c>
    </row>
    <row r="36" spans="2:16" x14ac:dyDescent="0.3">
      <c r="B36" s="39" t="s">
        <v>9</v>
      </c>
      <c r="C36" s="40">
        <f>C34*$E$14/C14</f>
        <v>0.64018439966447993</v>
      </c>
      <c r="D36" s="40">
        <f>D34*$E$14/D14</f>
        <v>0.76822127959737574</v>
      </c>
      <c r="E36" s="1" t="str">
        <f>"= β(i,P)*σ(P)/σ(i) = "&amp;TEXT(D34,"0.000")&amp;" * "&amp;TEXT(E14,"0.000%")&amp;" / "&amp;TEXT(D14,"0.000%")</f>
        <v>= β(i,P)*σ(P)/σ(i) = 1.770 * 5.207% / 12.000%</v>
      </c>
    </row>
    <row r="37" spans="2:16" x14ac:dyDescent="0.3">
      <c r="B37" s="41" t="s">
        <v>24</v>
      </c>
      <c r="C37" s="42" t="e">
        <f>C34*$E$14*deviate</f>
        <v>#REF!</v>
      </c>
      <c r="D37" s="42" t="e">
        <f>D34*$E$14*deviate</f>
        <v>#REF!</v>
      </c>
      <c r="E37" s="1" t="e">
        <f>"= β(i,P)*σ(P)*α(p) = "&amp;TEXT(D34,"0.000")&amp;" * "&amp;TEXT(E14,"0.000%")&amp;" * "&amp;TEXT(deviate,"0.000")</f>
        <v>#REF!</v>
      </c>
    </row>
    <row r="38" spans="2:16" x14ac:dyDescent="0.3">
      <c r="B38" s="41" t="s">
        <v>25</v>
      </c>
      <c r="C38" s="42">
        <f>C34*$E$28/W</f>
        <v>5.2650481585293514E-2</v>
      </c>
      <c r="D38" s="42">
        <f>D34*$E$28/W</f>
        <v>0.15163338696564527</v>
      </c>
      <c r="E38" s="1" t="str">
        <f>"= β(i,P)*VaR(P)/W = "&amp;TEXT(D34,"0.000")&amp;" * "&amp;TEXT($E$28,"$0,0.0")&amp;" / "&amp;TEXT(W,"$0,0.0")</f>
        <v>= β(i,P)*VaR(P)/W = 1.770 * $256.9 / $3,000.0</v>
      </c>
    </row>
    <row r="39" spans="2:16" x14ac:dyDescent="0.3">
      <c r="B39" s="41" t="s">
        <v>26</v>
      </c>
      <c r="C39" s="42">
        <f>C31/$E$14*$C$9</f>
        <v>5.2650481585293521E-2</v>
      </c>
      <c r="D39" s="42">
        <f>D31/$E$14*$C$9</f>
        <v>0.15163338696564527</v>
      </c>
      <c r="E39" s="1" t="str">
        <f>"= COV("&amp;D30&amp;",P)/σ(P)*α(p) = "&amp;TEXT(D31,"0.00000")&amp;" / "&amp;TEXT(E14,"0.0000%")&amp;" * "&amp;TEXT(C9,"0.000")</f>
        <v>= COV(EUR,P)/σ(P)*α(p) = 0.00480 / 5.2068% * 1.645</v>
      </c>
    </row>
    <row r="40" spans="2:16" x14ac:dyDescent="0.3">
      <c r="B40" s="43" t="s">
        <v>6</v>
      </c>
      <c r="C40" s="44" t="e">
        <f>C37*C12</f>
        <v>#REF!</v>
      </c>
      <c r="D40" s="44" t="e">
        <f>D37*D12</f>
        <v>#REF!</v>
      </c>
      <c r="E40" s="1" t="e">
        <f>" = ΔVaR("&amp;D30&amp;")*Position("&amp;D30&amp;") = "&amp;TEXT(D37,"0.0000")&amp;" * "&amp;TEXT(D12,"$0,0.0")</f>
        <v>#REF!</v>
      </c>
    </row>
    <row r="41" spans="2:16" x14ac:dyDescent="0.3">
      <c r="B41" s="43" t="s">
        <v>27</v>
      </c>
      <c r="C41" s="44">
        <f>C16*C36</f>
        <v>105.30096317058702</v>
      </c>
      <c r="D41" s="44">
        <f>D16*D36</f>
        <v>151.63338696564526</v>
      </c>
      <c r="E41" s="1" t="str">
        <f>" = VaR$("&amp;D30&amp;")*ρ("&amp;D30&amp;",P) = "&amp;TEXT(D36,"0.0000")&amp;" * "&amp;TEXT(D16,"$0,0.00")</f>
        <v xml:space="preserve"> = VaR$(EUR)*ρ(EUR,P) = 0.7682 * $197.38</v>
      </c>
      <c r="K41" s="45"/>
    </row>
    <row r="42" spans="2:16" x14ac:dyDescent="0.3">
      <c r="B42" s="43" t="s">
        <v>27</v>
      </c>
      <c r="C42" s="44">
        <f>$E$28*C13*C34</f>
        <v>105.30096317058702</v>
      </c>
      <c r="D42" s="44">
        <f>$E$28*D13*D34</f>
        <v>151.63338696564526</v>
      </c>
      <c r="E42" s="1" t="str">
        <f>" = VaR$(P)*w%("&amp;D30&amp;")*β("&amp;D30&amp;",P)="&amp;TEXT(E28,"$0,0.0")&amp;"*"&amp;TEXT(D13,"0.0%")&amp;"*"&amp;TEXT(D34,"0.000")</f>
        <v xml:space="preserve"> = VaR$(P)*w%(EUR)*β(EUR,P)=$256.9*33.3%*1.770</v>
      </c>
    </row>
    <row r="43" spans="2:16" x14ac:dyDescent="0.3">
      <c r="B43" s="43" t="s">
        <v>7</v>
      </c>
      <c r="C43" s="46" t="e">
        <f>C40/$E$28</f>
        <v>#REF!</v>
      </c>
      <c r="D43" s="46" t="e">
        <f>D40/$E$28</f>
        <v>#REF!</v>
      </c>
      <c r="E43" s="1" t="e">
        <f>"= "&amp;TEXT(D40,"$0,0.0")&amp;" / "&amp;TEXT(E28,"$0,0.0")</f>
        <v>#REF!</v>
      </c>
    </row>
    <row r="44" spans="2:16" x14ac:dyDescent="0.3">
      <c r="B44" s="43" t="s">
        <v>6</v>
      </c>
      <c r="C44" s="47">
        <f>C34*C13</f>
        <v>0.40983606557377056</v>
      </c>
      <c r="D44" s="47">
        <f>D34*D13</f>
        <v>0.59016393442622939</v>
      </c>
      <c r="E44" s="1" t="str">
        <f>"= β(i,P)*w%("&amp;D30&amp;") = "&amp;TEXT(D34,"0.000")&amp;" * "&amp;TEXT(D13,"0.00%")</f>
        <v>= β(i,P)*w%(EUR) = 1.770 * 33.33%</v>
      </c>
    </row>
    <row r="46" spans="2:16" x14ac:dyDescent="0.3">
      <c r="B46" s="15" t="s">
        <v>47</v>
      </c>
      <c r="C46" s="16" t="str">
        <f>C11</f>
        <v>CAD</v>
      </c>
      <c r="D46" s="16" t="str">
        <f>D11</f>
        <v>EUR</v>
      </c>
      <c r="F46" s="12"/>
    </row>
    <row r="47" spans="2:16" x14ac:dyDescent="0.3">
      <c r="B47" s="37" t="s">
        <v>33</v>
      </c>
      <c r="C47" s="48">
        <v>10</v>
      </c>
      <c r="D47" s="48">
        <v>0</v>
      </c>
      <c r="J47" s="54" t="s">
        <v>46</v>
      </c>
      <c r="K47" s="54"/>
      <c r="L47" s="28"/>
      <c r="M47" s="28"/>
      <c r="N47" s="54"/>
      <c r="O47" s="54"/>
      <c r="P47" s="54"/>
    </row>
    <row r="48" spans="2:16" x14ac:dyDescent="0.3">
      <c r="B48" s="49" t="s">
        <v>20</v>
      </c>
      <c r="C48" s="59" t="e">
        <f>C37</f>
        <v>#REF!</v>
      </c>
      <c r="D48" s="52" t="e">
        <f>D37</f>
        <v>#REF!</v>
      </c>
      <c r="J48" s="12" t="s">
        <v>38</v>
      </c>
      <c r="L48" s="63">
        <f>L22</f>
        <v>2.5000000000000005E-3</v>
      </c>
      <c r="M48" s="64">
        <f>M22</f>
        <v>0</v>
      </c>
      <c r="N48" s="74">
        <f>N22+C47</f>
        <v>2010</v>
      </c>
    </row>
    <row r="49" spans="2:17" x14ac:dyDescent="0.3">
      <c r="B49" s="25" t="s">
        <v>28</v>
      </c>
      <c r="C49" s="60" t="e">
        <f>C47*C48</f>
        <v>#REF!</v>
      </c>
      <c r="D49" s="50" t="e">
        <f>D47*D48</f>
        <v>#REF!</v>
      </c>
      <c r="F49" s="34"/>
      <c r="G49" s="34"/>
      <c r="J49" s="12"/>
      <c r="L49" s="65">
        <f>L23</f>
        <v>0</v>
      </c>
      <c r="M49" s="66">
        <f>M23</f>
        <v>1.44E-2</v>
      </c>
      <c r="N49" s="75">
        <f>N23+D47</f>
        <v>1000</v>
      </c>
    </row>
    <row r="50" spans="2:17" x14ac:dyDescent="0.3">
      <c r="B50" s="25" t="s">
        <v>48</v>
      </c>
      <c r="C50" s="60">
        <f>P53</f>
        <v>0.52728003650059918</v>
      </c>
      <c r="D50" s="50" t="e">
        <f>D48*D49</f>
        <v>#REF!</v>
      </c>
    </row>
    <row r="51" spans="2:17" s="1" customFormat="1" x14ac:dyDescent="0.3">
      <c r="B51" s="77" t="s">
        <v>49</v>
      </c>
      <c r="C51" s="76" t="e">
        <f>C50/C49-1</f>
        <v>#REF!</v>
      </c>
      <c r="J51" s="12" t="s">
        <v>39</v>
      </c>
      <c r="K51" s="3"/>
      <c r="L51" s="69">
        <f>N48</f>
        <v>2010</v>
      </c>
      <c r="M51" s="70">
        <f>N49</f>
        <v>1000</v>
      </c>
      <c r="N51" s="71">
        <f t="array" ref="N51:N52">MMULT(L48:M49,N48:N49)</f>
        <v>5.0250000000000012</v>
      </c>
      <c r="O51" s="73">
        <f>MMULT(L51:M51,N51:N52)</f>
        <v>24500.25</v>
      </c>
      <c r="P51" s="55">
        <f>SQRT(O51)</f>
        <v>156.5255570186543</v>
      </c>
      <c r="Q51" s="3" t="s">
        <v>43</v>
      </c>
    </row>
    <row r="52" spans="2:17" x14ac:dyDescent="0.3">
      <c r="C52" s="61"/>
      <c r="N52" s="72">
        <v>14.4</v>
      </c>
      <c r="P52" s="57">
        <f>P51*$C$9</f>
        <v>257.4616301727329</v>
      </c>
      <c r="Q52" s="3" t="s">
        <v>41</v>
      </c>
    </row>
    <row r="53" spans="2:17" x14ac:dyDescent="0.3">
      <c r="P53" s="58">
        <f>P52-P26</f>
        <v>0.52728003650059918</v>
      </c>
      <c r="Q53" s="3" t="s">
        <v>44</v>
      </c>
    </row>
    <row r="54" spans="2:17" x14ac:dyDescent="0.3">
      <c r="P54" s="56">
        <f>P53*1000</f>
        <v>527.28003650059918</v>
      </c>
    </row>
    <row r="55" spans="2:17" x14ac:dyDescent="0.3">
      <c r="P55" s="62" t="e">
        <f>P53/C49-1</f>
        <v>#REF!</v>
      </c>
    </row>
  </sheetData>
  <pageMargins left="0.75" right="0.75" top="1.6666666666666667" bottom="1.6666666666666667" header="0" footer="0"/>
  <pageSetup firstPageNumber="4294967295" orientation="portrait" cellComments="asDisplayed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TOC</vt:lpstr>
      <vt:lpstr>Ch7-Portfolio-VaR</vt:lpstr>
      <vt:lpstr>___INDEX_SHEET___ASAP_Utilities</vt:lpstr>
      <vt:lpstr>'Ch7-Portfolio-VaR'!W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Harper</dc:creator>
  <cp:lastModifiedBy>Nicole Seaman</cp:lastModifiedBy>
  <dcterms:created xsi:type="dcterms:W3CDTF">2008-09-08T03:35:32Z</dcterms:created>
  <dcterms:modified xsi:type="dcterms:W3CDTF">2017-08-30T18:06:00Z</dcterms:modified>
</cp:coreProperties>
</file>